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sir\Desktop\"/>
    </mc:Choice>
  </mc:AlternateContent>
  <xr:revisionPtr revIDLastSave="0" documentId="13_ncr:1_{7A2B6F3C-C848-4ADA-9C2C-F2DEC665F172}" xr6:coauthVersionLast="47" xr6:coauthVersionMax="47" xr10:uidLastSave="{00000000-0000-0000-0000-000000000000}"/>
  <workbookProtection workbookAlgorithmName="SHA-512" workbookHashValue="WeWyewt2aOvl+ZRO7VjfLNGn5SfMW57JREQScIG/DJUJ6z1QF7uIY2m7nrps2V366DwLfd4Fh8CJZfKzCJna0g==" workbookSaltValue="EVJ5bmUxTcAnGH0skRXbbw==" workbookSpinCount="100000" lockStructure="1"/>
  <bookViews>
    <workbookView xWindow="-120" yWindow="-120" windowWidth="29040" windowHeight="15720" firstSheet="1" activeTab="1" xr2:uid="{00000000-000D-0000-FFFF-FFFF00000000}"/>
  </bookViews>
  <sheets>
    <sheet name="base" sheetId="1" state="hidden" r:id="rId1"/>
    <sheet name="calc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3" l="1"/>
  <c r="L7" i="3"/>
  <c r="B6" i="1"/>
  <c r="C6" i="1" s="1"/>
  <c r="C19" i="1"/>
  <c r="D19" i="1"/>
  <c r="B7" i="1"/>
  <c r="L6" i="3" s="1"/>
  <c r="C4" i="3"/>
  <c r="L8" i="3" l="1"/>
  <c r="D6" i="1"/>
  <c r="C12" i="3"/>
  <c r="C3" i="3"/>
  <c r="C2" i="3"/>
  <c r="D21" i="1"/>
  <c r="E9" i="1"/>
  <c r="D9" i="1"/>
  <c r="C9" i="1"/>
  <c r="E6" i="1"/>
  <c r="L4" i="3" l="1"/>
  <c r="C7" i="3"/>
  <c r="L5" i="3" s="1"/>
  <c r="D7" i="1"/>
  <c r="E7" i="1"/>
  <c r="C7" i="1"/>
  <c r="L11" i="3" l="1"/>
  <c r="L9" i="3"/>
  <c r="L10" i="3"/>
  <c r="M9" i="3"/>
  <c r="M10" i="3"/>
  <c r="M12" i="3"/>
  <c r="N12" i="3" s="1"/>
  <c r="M11" i="3"/>
  <c r="N11" i="3" l="1"/>
  <c r="M13" i="3"/>
  <c r="N10" i="3"/>
  <c r="L13" i="3"/>
  <c r="L14" i="3" s="1"/>
  <c r="N9" i="3"/>
  <c r="N13" i="3" l="1"/>
  <c r="Q7" i="3" l="1"/>
  <c r="T10" i="3" s="1"/>
  <c r="Q4" i="3" l="1"/>
  <c r="S10" i="3"/>
  <c r="Q10" i="3" s="1"/>
</calcChain>
</file>

<file path=xl/sharedStrings.xml><?xml version="1.0" encoding="utf-8"?>
<sst xmlns="http://schemas.openxmlformats.org/spreadsheetml/2006/main" count="74" uniqueCount="68">
  <si>
    <t>گروهبان3</t>
  </si>
  <si>
    <t>گروهبان2</t>
  </si>
  <si>
    <t>ستوان3</t>
  </si>
  <si>
    <t>ستوان2</t>
  </si>
  <si>
    <t>حقوق پایه</t>
  </si>
  <si>
    <t>حق همسر</t>
  </si>
  <si>
    <t>حق فرزند</t>
  </si>
  <si>
    <t>عمر و حوادث</t>
  </si>
  <si>
    <t>مکمل</t>
  </si>
  <si>
    <t>پایه  خدمات درمانی</t>
  </si>
  <si>
    <t>خوراک</t>
  </si>
  <si>
    <t>پوشاک</t>
  </si>
  <si>
    <t>حق اولاد</t>
  </si>
  <si>
    <t>بیمه درمان</t>
  </si>
  <si>
    <t>بیمه مکمل</t>
  </si>
  <si>
    <t>بیمه حوادث 1و2</t>
  </si>
  <si>
    <t>بیمه بازنشستگی</t>
  </si>
  <si>
    <t>خالص حقوق</t>
  </si>
  <si>
    <t>تعداد خانواده</t>
  </si>
  <si>
    <t>تاهل</t>
  </si>
  <si>
    <t>فرزند</t>
  </si>
  <si>
    <t>درجه</t>
  </si>
  <si>
    <t>کمک هزینه خوراک</t>
  </si>
  <si>
    <t>کمک هزینه پوشاک</t>
  </si>
  <si>
    <t>کسورات</t>
  </si>
  <si>
    <t>دریافتی ها</t>
  </si>
  <si>
    <t>جمع کسورات</t>
  </si>
  <si>
    <t>کل قرارداد</t>
  </si>
  <si>
    <t>خوراک ماهانه</t>
  </si>
  <si>
    <t>پوشاک سالانه</t>
  </si>
  <si>
    <t>حداقل حقوق کارکنان نیروهای مسلح</t>
  </si>
  <si>
    <t>دوره آموزشی</t>
  </si>
  <si>
    <t>بیمه نیرو مسلح</t>
  </si>
  <si>
    <t>ضریب ریالی حقوق</t>
  </si>
  <si>
    <t>همسر</t>
  </si>
  <si>
    <t>ضریب هدیه ازدواج</t>
  </si>
  <si>
    <t>ضریب حقوقی درجه</t>
  </si>
  <si>
    <t>چک1 (به تاریخ یک ماه قبل از اعزام)</t>
  </si>
  <si>
    <t>مبلغ</t>
  </si>
  <si>
    <t>1- انتخاب وضعیت های سرباز</t>
  </si>
  <si>
    <t>2- فیش حقوقی</t>
  </si>
  <si>
    <t>3- اطلاعات قرارداد</t>
  </si>
  <si>
    <t>سهم سرباز</t>
  </si>
  <si>
    <t>سهم شرکت</t>
  </si>
  <si>
    <t>جمع</t>
  </si>
  <si>
    <t>موضوع</t>
  </si>
  <si>
    <t xml:space="preserve">ابلاغیه رسمی معاونت علمی و فناوری به شرکت های بکارگیرنده ماموران وظیفه امریه در شرکتهای دانش بنیان به منظور اصلاح تعرفه حقوق و دستمزد این کارکنان </t>
  </si>
  <si>
    <t>نظارت و ارزیابی</t>
  </si>
  <si>
    <t>حقوق پایه متاهل</t>
  </si>
  <si>
    <t>گروهبان دوم   - لیسانس</t>
  </si>
  <si>
    <t>ستوان سوم  - فوق لیسانس</t>
  </si>
  <si>
    <t>ستوان دوم - دکتری</t>
  </si>
  <si>
    <t>درجه - مدرک</t>
  </si>
  <si>
    <t>وضعیت تاهل</t>
  </si>
  <si>
    <t xml:space="preserve">مجرد </t>
  </si>
  <si>
    <t>متاهل</t>
  </si>
  <si>
    <t xml:space="preserve"> درجه (مدرک) و وضعیت تاهل و فرزند خود را در باکس های زیر مشخص کنید.</t>
  </si>
  <si>
    <t>سال 1401</t>
  </si>
  <si>
    <t>قبل از سال 1401</t>
  </si>
  <si>
    <t>-</t>
  </si>
  <si>
    <t xml:space="preserve">تعداد فرزندان  متولد شده </t>
  </si>
  <si>
    <t>دریافت وعده غذایی</t>
  </si>
  <si>
    <t>بله</t>
  </si>
  <si>
    <t>خیر</t>
  </si>
  <si>
    <t>چک2 (به تاریخ2 ماه بعد از اعزام)</t>
  </si>
  <si>
    <t>تاریخ اجرای این دستورالعمل از ابتدای 1403/01/01  لازم الاجرا می باشد.</t>
  </si>
  <si>
    <t>تاریخ بروز رسانی فایل اکسل حقوق و دستمزد
کارکنان وظیفه مامور در شرکتهای دانش بنیان
1403/04/10</t>
  </si>
  <si>
    <t>* برای تنظیم قرارداد، از بخش «1- انتخاب وضعیت های سرباز» برای لیسانس درجه را گروهبان 2 ، فوق لیسانس ستوان 3 و دکتری ستوان 2 انتخاب کنید.
* سایر موارد شامل تاهل و فرزند، مطابق شناسنامه سرباز انتخاب شود.
* مبلغ چک دوم،شامل مجموع بیمه نیروهای مسلح و مبلغ 7میلیون تومان پیش پرداخت افزایش بیمه در سال های بعد می باشد.
*در صورت دریافت وعده غذایی در شرکت هزینه خوراک به مامور وظیفه تعلق نمی گیرد.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</si>
</sst>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theme="1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theme="8" tint="0.79995117038483843"/>
        <bgColor rgb="FF000000"/>
      </patternFill>
    </fill>
    <fill>
      <patternFill patternType="solid">
        <fgColor theme="7" tint="0.79995117038483843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7" tint="0.5999633777886288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1CFF1"/>
        <bgColor rgb="FF000000"/>
      </patternFill>
    </fill>
    <fill>
      <patternFill patternType="solid">
        <fgColor rgb="FF66FFCC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E1CFF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7">
    <xf numFmtId="0" fontId="0" fillId="0" borderId="0" xfId="0" applyAlignment="1"/>
    <xf numFmtId="164" fontId="0" fillId="0" borderId="0" xfId="0" applyNumberFormat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6" borderId="1" xfId="0" applyFont="1" applyFill="1" applyBorder="1" applyAlignment="1"/>
    <xf numFmtId="0" fontId="2" fillId="3" borderId="1" xfId="0" applyFont="1" applyFill="1" applyBorder="1" applyAlignment="1"/>
    <xf numFmtId="164" fontId="0" fillId="0" borderId="1" xfId="1" applyNumberFormat="1" applyFont="1" applyBorder="1" applyAlignment="1"/>
    <xf numFmtId="164" fontId="0" fillId="0" borderId="1" xfId="0" applyNumberFormat="1" applyBorder="1" applyAlignment="1"/>
    <xf numFmtId="0" fontId="2" fillId="7" borderId="1" xfId="0" applyFont="1" applyFill="1" applyBorder="1" applyAlignment="1"/>
    <xf numFmtId="9" fontId="1" fillId="0" borderId="1" xfId="2" applyFill="1" applyBorder="1" applyAlignment="1"/>
    <xf numFmtId="164" fontId="1" fillId="0" borderId="1" xfId="1" applyNumberFormat="1" applyFill="1" applyBorder="1" applyAlignment="1"/>
    <xf numFmtId="0" fontId="0" fillId="0" borderId="0" xfId="0" applyAlignment="1">
      <alignment readingOrder="2"/>
    </xf>
    <xf numFmtId="164" fontId="0" fillId="0" borderId="0" xfId="1" applyNumberFormat="1" applyFont="1" applyAlignment="1" applyProtection="1"/>
    <xf numFmtId="0" fontId="2" fillId="0" borderId="8" xfId="0" applyFont="1" applyBorder="1" applyAlignment="1"/>
    <xf numFmtId="164" fontId="2" fillId="3" borderId="1" xfId="1" applyNumberFormat="1" applyFont="1" applyFill="1" applyBorder="1" applyAlignment="1" applyProtection="1"/>
    <xf numFmtId="164" fontId="2" fillId="9" borderId="1" xfId="1" applyNumberFormat="1" applyFont="1" applyFill="1" applyBorder="1" applyAlignment="1" applyProtection="1"/>
    <xf numFmtId="0" fontId="2" fillId="3" borderId="9" xfId="0" applyFont="1" applyFill="1" applyBorder="1" applyAlignment="1">
      <alignment horizontal="right"/>
    </xf>
    <xf numFmtId="0" fontId="2" fillId="3" borderId="5" xfId="0" applyFont="1" applyFill="1" applyBorder="1" applyAlignment="1"/>
    <xf numFmtId="0" fontId="2" fillId="8" borderId="1" xfId="0" applyFont="1" applyFill="1" applyBorder="1" applyAlignment="1"/>
    <xf numFmtId="41" fontId="0" fillId="8" borderId="1" xfId="1" applyNumberFormat="1" applyFont="1" applyFill="1" applyBorder="1" applyAlignment="1" applyProtection="1"/>
    <xf numFmtId="41" fontId="0" fillId="6" borderId="1" xfId="1" applyNumberFormat="1" applyFont="1" applyFill="1" applyBorder="1" applyAlignment="1" applyProtection="1"/>
    <xf numFmtId="0" fontId="2" fillId="9" borderId="5" xfId="0" applyFont="1" applyFill="1" applyBorder="1" applyAlignment="1">
      <alignment horizontal="right"/>
    </xf>
    <xf numFmtId="41" fontId="0" fillId="9" borderId="5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right"/>
    </xf>
    <xf numFmtId="41" fontId="0" fillId="0" borderId="5" xfId="1" applyNumberFormat="1" applyFont="1" applyBorder="1" applyAlignment="1" applyProtection="1">
      <alignment horizontal="center"/>
    </xf>
    <xf numFmtId="0" fontId="0" fillId="3" borderId="0" xfId="0" applyFill="1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1" fontId="0" fillId="0" borderId="0" xfId="1" applyNumberFormat="1" applyFont="1" applyAlignment="1" applyProtection="1"/>
    <xf numFmtId="0" fontId="2" fillId="5" borderId="1" xfId="0" applyFont="1" applyFill="1" applyBorder="1" applyAlignment="1"/>
    <xf numFmtId="41" fontId="0" fillId="5" borderId="1" xfId="1" applyNumberFormat="1" applyFont="1" applyFill="1" applyBorder="1" applyAlignment="1" applyProtection="1"/>
    <xf numFmtId="41" fontId="0" fillId="4" borderId="1" xfId="1" applyNumberFormat="1" applyFont="1" applyFill="1" applyBorder="1" applyAlignment="1" applyProtection="1"/>
    <xf numFmtId="165" fontId="0" fillId="0" borderId="0" xfId="0" applyNumberFormat="1" applyAlignment="1"/>
    <xf numFmtId="0" fontId="2" fillId="5" borderId="3" xfId="0" applyFont="1" applyFill="1" applyBorder="1" applyAlignment="1"/>
    <xf numFmtId="41" fontId="0" fillId="5" borderId="3" xfId="1" applyNumberFormat="1" applyFont="1" applyFill="1" applyBorder="1" applyAlignment="1" applyProtection="1"/>
    <xf numFmtId="0" fontId="2" fillId="2" borderId="5" xfId="0" applyFont="1" applyFill="1" applyBorder="1" applyAlignment="1"/>
    <xf numFmtId="41" fontId="0" fillId="2" borderId="5" xfId="1" applyNumberFormat="1" applyFont="1" applyFill="1" applyBorder="1" applyAlignment="1" applyProtection="1"/>
    <xf numFmtId="164" fontId="0" fillId="10" borderId="0" xfId="1" applyNumberFormat="1" applyFont="1" applyFill="1" applyBorder="1" applyAlignment="1"/>
    <xf numFmtId="164" fontId="0" fillId="0" borderId="0" xfId="1" applyNumberFormat="1" applyFont="1" applyBorder="1" applyAlignment="1" applyProtection="1"/>
    <xf numFmtId="43" fontId="0" fillId="0" borderId="0" xfId="1" applyFont="1" applyAlignment="1" applyProtection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2" borderId="5" xfId="1" applyNumberFormat="1" applyFont="1" applyFill="1" applyBorder="1" applyAlignment="1"/>
    <xf numFmtId="164" fontId="0" fillId="2" borderId="5" xfId="1" applyNumberFormat="1" applyFont="1" applyFill="1" applyBorder="1" applyAlignment="1"/>
    <xf numFmtId="0" fontId="0" fillId="0" borderId="5" xfId="0" applyBorder="1" applyAlignment="1"/>
    <xf numFmtId="164" fontId="0" fillId="7" borderId="1" xfId="1" applyNumberFormat="1" applyFont="1" applyFill="1" applyBorder="1" applyAlignment="1"/>
    <xf numFmtId="0" fontId="2" fillId="7" borderId="3" xfId="0" applyFont="1" applyFill="1" applyBorder="1" applyAlignment="1"/>
    <xf numFmtId="0" fontId="2" fillId="7" borderId="5" xfId="0" applyFont="1" applyFill="1" applyBorder="1" applyAlignment="1"/>
    <xf numFmtId="164" fontId="0" fillId="7" borderId="2" xfId="1" applyNumberFormat="1" applyFont="1" applyFill="1" applyBorder="1" applyAlignment="1"/>
    <xf numFmtId="164" fontId="0" fillId="7" borderId="2" xfId="0" applyNumberFormat="1" applyFill="1" applyBorder="1" applyAlignment="1"/>
    <xf numFmtId="0" fontId="0" fillId="15" borderId="0" xfId="0" applyFill="1" applyAlignment="1"/>
    <xf numFmtId="0" fontId="2" fillId="13" borderId="1" xfId="0" applyFont="1" applyFill="1" applyBorder="1" applyAlignment="1"/>
    <xf numFmtId="164" fontId="0" fillId="13" borderId="1" xfId="1" applyNumberFormat="1" applyFont="1" applyFill="1" applyBorder="1" applyAlignment="1"/>
    <xf numFmtId="0" fontId="0" fillId="14" borderId="0" xfId="0" applyFill="1" applyAlignment="1"/>
    <xf numFmtId="0" fontId="0" fillId="8" borderId="0" xfId="0" applyFill="1" applyAlignment="1"/>
    <xf numFmtId="0" fontId="0" fillId="7" borderId="0" xfId="0" applyFill="1" applyAlignment="1"/>
    <xf numFmtId="1" fontId="0" fillId="7" borderId="0" xfId="0" applyNumberFormat="1" applyFill="1" applyAlignment="1"/>
    <xf numFmtId="41" fontId="0" fillId="0" borderId="5" xfId="1" applyNumberFormat="1" applyFont="1" applyFill="1" applyBorder="1" applyAlignment="1" applyProtection="1">
      <alignment horizontal="center"/>
    </xf>
    <xf numFmtId="41" fontId="0" fillId="3" borderId="5" xfId="1" applyNumberFormat="1" applyFont="1" applyFill="1" applyBorder="1" applyAlignment="1" applyProtection="1">
      <alignment vertical="center"/>
    </xf>
    <xf numFmtId="0" fontId="10" fillId="3" borderId="5" xfId="0" applyFont="1" applyFill="1" applyBorder="1" applyAlignment="1">
      <alignment horizontal="right" vertical="center"/>
    </xf>
    <xf numFmtId="43" fontId="0" fillId="0" borderId="5" xfId="1" applyFont="1" applyBorder="1" applyAlignment="1" applyProtection="1">
      <alignment horizontal="center"/>
    </xf>
    <xf numFmtId="164" fontId="1" fillId="0" borderId="1" xfId="1" applyNumberFormat="1" applyFill="1" applyBorder="1" applyAlignment="1">
      <alignment horizontal="right"/>
    </xf>
    <xf numFmtId="0" fontId="0" fillId="2" borderId="5" xfId="1" applyNumberFormat="1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41" fontId="0" fillId="0" borderId="0" xfId="0" applyNumberFormat="1" applyAlignment="1"/>
    <xf numFmtId="164" fontId="0" fillId="8" borderId="1" xfId="1" applyNumberFormat="1" applyFont="1" applyFill="1" applyBorder="1" applyAlignment="1" applyProtection="1"/>
    <xf numFmtId="164" fontId="0" fillId="0" borderId="0" xfId="1" applyNumberFormat="1" applyFont="1" applyAlignment="1"/>
    <xf numFmtId="0" fontId="11" fillId="6" borderId="9" xfId="0" applyFont="1" applyFill="1" applyBorder="1" applyAlignment="1">
      <alignment horizontal="center" vertical="center" readingOrder="2"/>
    </xf>
    <xf numFmtId="0" fontId="11" fillId="6" borderId="11" xfId="0" applyFont="1" applyFill="1" applyBorder="1" applyAlignment="1">
      <alignment horizontal="center" vertical="center" readingOrder="2"/>
    </xf>
    <xf numFmtId="0" fontId="11" fillId="6" borderId="10" xfId="0" applyFont="1" applyFill="1" applyBorder="1" applyAlignment="1">
      <alignment horizontal="center" vertical="center" readingOrder="2"/>
    </xf>
    <xf numFmtId="0" fontId="11" fillId="2" borderId="9" xfId="0" applyFont="1" applyFill="1" applyBorder="1" applyAlignment="1">
      <alignment horizontal="center" vertical="center" readingOrder="2"/>
    </xf>
    <xf numFmtId="0" fontId="11" fillId="2" borderId="11" xfId="0" applyFont="1" applyFill="1" applyBorder="1" applyAlignment="1">
      <alignment horizontal="center" vertical="center" readingOrder="2"/>
    </xf>
    <xf numFmtId="0" fontId="11" fillId="2" borderId="10" xfId="0" applyFont="1" applyFill="1" applyBorder="1" applyAlignment="1">
      <alignment horizontal="center" vertical="center" readingOrder="2"/>
    </xf>
    <xf numFmtId="0" fontId="11" fillId="11" borderId="9" xfId="0" applyFont="1" applyFill="1" applyBorder="1" applyAlignment="1">
      <alignment horizontal="center" vertical="center" readingOrder="2"/>
    </xf>
    <xf numFmtId="0" fontId="11" fillId="11" borderId="10" xfId="0" applyFont="1" applyFill="1" applyBorder="1" applyAlignment="1">
      <alignment horizontal="center" vertical="center" readingOrder="2"/>
    </xf>
    <xf numFmtId="0" fontId="6" fillId="8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16" borderId="21" xfId="0" applyFont="1" applyFill="1" applyBorder="1" applyAlignment="1">
      <alignment horizontal="right" vertical="center" wrapText="1" readingOrder="2"/>
    </xf>
    <xf numFmtId="0" fontId="8" fillId="16" borderId="22" xfId="0" applyFont="1" applyFill="1" applyBorder="1" applyAlignment="1">
      <alignment horizontal="right" vertical="center" wrapText="1" readingOrder="2"/>
    </xf>
    <xf numFmtId="0" fontId="8" fillId="16" borderId="23" xfId="0" applyFont="1" applyFill="1" applyBorder="1" applyAlignment="1">
      <alignment horizontal="right" vertical="center" wrapText="1" readingOrder="2"/>
    </xf>
    <xf numFmtId="0" fontId="8" fillId="16" borderId="24" xfId="0" applyFont="1" applyFill="1" applyBorder="1" applyAlignment="1">
      <alignment horizontal="right" vertical="center" wrapText="1" readingOrder="2"/>
    </xf>
    <xf numFmtId="0" fontId="8" fillId="16" borderId="25" xfId="0" applyFont="1" applyFill="1" applyBorder="1" applyAlignment="1">
      <alignment horizontal="right" vertical="center" wrapText="1" readingOrder="2"/>
    </xf>
    <xf numFmtId="0" fontId="8" fillId="16" borderId="26" xfId="0" applyFont="1" applyFill="1" applyBorder="1" applyAlignment="1">
      <alignment horizontal="right" vertical="center" wrapText="1" readingOrder="2"/>
    </xf>
    <xf numFmtId="0" fontId="8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center" vertical="center" wrapText="1" readingOrder="2"/>
    </xf>
    <xf numFmtId="0" fontId="8" fillId="16" borderId="27" xfId="0" applyFont="1" applyFill="1" applyBorder="1" applyAlignment="1">
      <alignment horizontal="center" vertical="center" wrapText="1" readingOrder="2"/>
    </xf>
    <xf numFmtId="0" fontId="8" fillId="16" borderId="22" xfId="0" applyFont="1" applyFill="1" applyBorder="1" applyAlignment="1">
      <alignment horizontal="center" vertical="center" wrapText="1" readingOrder="2"/>
    </xf>
    <xf numFmtId="0" fontId="8" fillId="16" borderId="23" xfId="0" applyFont="1" applyFill="1" applyBorder="1" applyAlignment="1">
      <alignment horizontal="center" vertical="center" wrapText="1" readingOrder="2"/>
    </xf>
    <xf numFmtId="0" fontId="8" fillId="16" borderId="0" xfId="0" applyFont="1" applyFill="1" applyAlignment="1">
      <alignment horizontal="center" vertical="center" wrapText="1" readingOrder="2"/>
    </xf>
    <xf numFmtId="0" fontId="8" fillId="16" borderId="24" xfId="0" applyFont="1" applyFill="1" applyBorder="1" applyAlignment="1">
      <alignment horizontal="center" vertical="center" wrapText="1" readingOrder="2"/>
    </xf>
    <xf numFmtId="0" fontId="8" fillId="16" borderId="25" xfId="0" applyFont="1" applyFill="1" applyBorder="1" applyAlignment="1">
      <alignment horizontal="center" vertical="center" wrapText="1" readingOrder="2"/>
    </xf>
    <xf numFmtId="0" fontId="8" fillId="16" borderId="28" xfId="0" applyFont="1" applyFill="1" applyBorder="1" applyAlignment="1">
      <alignment horizontal="center" vertical="center" wrapText="1" readingOrder="2"/>
    </xf>
    <xf numFmtId="0" fontId="8" fillId="16" borderId="26" xfId="0" applyFont="1" applyFill="1" applyBorder="1" applyAlignment="1">
      <alignment horizontal="center" vertical="center" wrapText="1" readingOrder="2"/>
    </xf>
  </cellXfs>
  <cellStyles count="4">
    <cellStyle name="Comma" xfId="1" builtinId="3"/>
    <cellStyle name="Followed Hyperlink" xfId="3" builtinId="9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8"/>
  <sheetViews>
    <sheetView rightToLeft="1" workbookViewId="0">
      <selection activeCell="B13" sqref="B13"/>
    </sheetView>
  </sheetViews>
  <sheetFormatPr defaultRowHeight="18" x14ac:dyDescent="0.45"/>
  <cols>
    <col min="1" max="1" width="21.5703125" style="2" customWidth="1"/>
    <col min="2" max="4" width="32.140625" customWidth="1"/>
    <col min="5" max="5" width="14.42578125" customWidth="1"/>
    <col min="6" max="6" width="10.5703125" customWidth="1"/>
    <col min="7" max="7" width="15.28515625" customWidth="1"/>
    <col min="8" max="8" width="15.5703125" customWidth="1"/>
    <col min="9" max="9" width="11.7109375" customWidth="1"/>
    <col min="10" max="10" width="10.7109375" customWidth="1"/>
    <col min="11" max="11" width="11" customWidth="1"/>
    <col min="13" max="13" width="10.5703125" customWidth="1"/>
  </cols>
  <sheetData>
    <row r="1" spans="1:36" x14ac:dyDescent="0.45">
      <c r="A1" s="3"/>
      <c r="B1" s="3"/>
      <c r="C1" s="40"/>
      <c r="D1" s="41"/>
      <c r="E1" s="41"/>
      <c r="F1" s="2"/>
      <c r="G1" s="2"/>
      <c r="H1" s="2"/>
      <c r="I1" s="2"/>
      <c r="J1" s="2"/>
    </row>
    <row r="2" spans="1:36" x14ac:dyDescent="0.45">
      <c r="A2" s="3"/>
      <c r="B2" s="4" t="s">
        <v>0</v>
      </c>
      <c r="C2" s="8" t="s">
        <v>1</v>
      </c>
      <c r="D2" s="8" t="s">
        <v>2</v>
      </c>
      <c r="E2" s="8" t="s">
        <v>3</v>
      </c>
    </row>
    <row r="3" spans="1:36" x14ac:dyDescent="0.45">
      <c r="A3" s="3" t="s">
        <v>36</v>
      </c>
      <c r="B3" s="9">
        <v>0.65</v>
      </c>
      <c r="C3" s="9">
        <v>0.67</v>
      </c>
      <c r="D3" s="9">
        <v>0.76</v>
      </c>
      <c r="E3" s="9">
        <v>0.79</v>
      </c>
    </row>
    <row r="4" spans="1:36" x14ac:dyDescent="0.45">
      <c r="A4" s="5" t="s">
        <v>4</v>
      </c>
      <c r="B4" s="10">
        <v>39675035</v>
      </c>
      <c r="C4" s="10">
        <v>49074967</v>
      </c>
      <c r="D4" s="10">
        <v>55667127</v>
      </c>
      <c r="E4" s="10">
        <v>57864513</v>
      </c>
    </row>
    <row r="5" spans="1:36" x14ac:dyDescent="0.45">
      <c r="A5" s="5" t="s">
        <v>48</v>
      </c>
      <c r="B5" s="10">
        <v>65921597</v>
      </c>
      <c r="C5" s="10">
        <v>65921597</v>
      </c>
      <c r="D5" s="10">
        <v>65921597</v>
      </c>
      <c r="E5" s="10">
        <v>65921597</v>
      </c>
    </row>
    <row r="6" spans="1:36" x14ac:dyDescent="0.45">
      <c r="A6" s="5" t="s">
        <v>5</v>
      </c>
      <c r="B6" s="64">
        <f>IF(calc!G9=0,B25,IF(calc!G9=calc!A19,B26,IF(calc!G9=calc!A20,B25,IF(calc!G9=calc!A21,B25,IF(calc!G9=calc!A22,B26,0)))))</f>
        <v>14004100</v>
      </c>
      <c r="C6" s="68">
        <f>$B$6</f>
        <v>14004100</v>
      </c>
      <c r="D6" s="68">
        <f>$B$6</f>
        <v>14004100</v>
      </c>
      <c r="E6" s="68">
        <f>$B$6</f>
        <v>14004100</v>
      </c>
      <c r="G6" s="1"/>
    </row>
    <row r="7" spans="1:36" x14ac:dyDescent="0.45">
      <c r="A7" s="5" t="s">
        <v>6</v>
      </c>
      <c r="B7" s="67" t="str">
        <f>IF(calc!G9=0,"0",IF(calc!G9=calc!A19,(C25*2+(C26*(calc!G9-2))),IF(calc!G9=calc!A20,(C25*calc!G9),IF(calc!G9=calc!A21,(C25*calc!G9),IF(calc!G9=calc!A22,(C26*(calc!G9-2)+(base!C25*2)),0)))))</f>
        <v>0</v>
      </c>
      <c r="C7" s="68" t="str">
        <f>$B$7</f>
        <v>0</v>
      </c>
      <c r="D7" s="68" t="str">
        <f>$B$7</f>
        <v>0</v>
      </c>
      <c r="E7" s="68" t="str">
        <f>$B$7</f>
        <v>0</v>
      </c>
      <c r="G7" s="1"/>
    </row>
    <row r="8" spans="1:36" s="53" customFormat="1" x14ac:dyDescent="0.45">
      <c r="A8" s="54"/>
      <c r="B8" s="55"/>
      <c r="C8" s="55"/>
      <c r="D8" s="55"/>
      <c r="E8" s="55"/>
      <c r="F8"/>
      <c r="G8" s="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x14ac:dyDescent="0.45">
      <c r="A9" s="8" t="s">
        <v>7</v>
      </c>
      <c r="B9" s="48">
        <v>0</v>
      </c>
      <c r="C9" s="6">
        <f>$B$9</f>
        <v>0</v>
      </c>
      <c r="D9" s="6">
        <f>$B$9</f>
        <v>0</v>
      </c>
      <c r="E9" s="6">
        <f>$B$9</f>
        <v>0</v>
      </c>
    </row>
    <row r="10" spans="1:36" x14ac:dyDescent="0.45">
      <c r="A10" s="8" t="s">
        <v>8</v>
      </c>
      <c r="B10" s="48">
        <v>2071000</v>
      </c>
      <c r="C10" s="6">
        <v>667000</v>
      </c>
      <c r="D10" s="6">
        <v>1404000</v>
      </c>
      <c r="E10" s="6"/>
      <c r="G10" s="1"/>
    </row>
    <row r="11" spans="1:36" x14ac:dyDescent="0.45">
      <c r="A11" s="49" t="s">
        <v>9</v>
      </c>
      <c r="B11" s="48">
        <v>1615000</v>
      </c>
      <c r="C11" s="6">
        <v>1292000</v>
      </c>
      <c r="D11" s="6">
        <v>323000</v>
      </c>
      <c r="E11" s="6"/>
    </row>
    <row r="12" spans="1:36" x14ac:dyDescent="0.45">
      <c r="A12" s="50" t="s">
        <v>10</v>
      </c>
      <c r="B12" s="51">
        <v>18000000</v>
      </c>
      <c r="C12" s="7"/>
      <c r="D12" s="7"/>
      <c r="E12" s="7"/>
    </row>
    <row r="13" spans="1:36" x14ac:dyDescent="0.45">
      <c r="A13" s="50" t="s">
        <v>11</v>
      </c>
      <c r="B13" s="52">
        <v>14487000</v>
      </c>
      <c r="C13" s="7"/>
      <c r="D13" s="7"/>
      <c r="E13" s="7"/>
    </row>
    <row r="14" spans="1:36" ht="15" x14ac:dyDescent="0.25">
      <c r="A14"/>
    </row>
    <row r="15" spans="1:36" x14ac:dyDescent="0.25">
      <c r="A15" s="42"/>
      <c r="B15" s="43"/>
      <c r="C15" s="43"/>
      <c r="E15" s="1"/>
      <c r="F15" s="1"/>
      <c r="G15" s="1"/>
      <c r="H15" s="1"/>
      <c r="I15" s="1"/>
    </row>
    <row r="16" spans="1:36" ht="15" x14ac:dyDescent="0.25">
      <c r="A16" s="45" t="s">
        <v>28</v>
      </c>
      <c r="B16" s="46">
        <v>18000000</v>
      </c>
      <c r="C16" s="47"/>
      <c r="D16" s="47"/>
      <c r="E16" s="47"/>
    </row>
    <row r="17" spans="1:9" ht="15" x14ac:dyDescent="0.25">
      <c r="A17" s="45" t="s">
        <v>29</v>
      </c>
      <c r="B17" s="46">
        <v>12072000</v>
      </c>
      <c r="C17" s="47"/>
      <c r="D17" s="47"/>
      <c r="E17" s="47"/>
    </row>
    <row r="18" spans="1:9" ht="15" x14ac:dyDescent="0.25">
      <c r="A18" s="45" t="s">
        <v>30</v>
      </c>
      <c r="B18" s="46">
        <v>79270800</v>
      </c>
      <c r="C18" s="45" t="s">
        <v>34</v>
      </c>
      <c r="D18" s="45" t="s">
        <v>20</v>
      </c>
      <c r="E18" s="45" t="s">
        <v>35</v>
      </c>
    </row>
    <row r="19" spans="1:9" ht="15" x14ac:dyDescent="0.25">
      <c r="A19" s="45" t="s">
        <v>33</v>
      </c>
      <c r="B19" s="46">
        <v>4024</v>
      </c>
      <c r="C19" s="65">
        <f>IF(calc!G9=0,D25,IF(calc!G9=calc!A19,D26,IF(calc!G9=calc!A20,D25,IF(calc!G9=calc!A21,D25,IF(calc!G9=calc!A22,D26,0)))))</f>
        <v>2900</v>
      </c>
      <c r="D19" s="66" t="str">
        <f>IF(calc!G9=0,"0",IF(calc!G9=calc!A19,((E26*(calc!G9-2))+E25*2),IF(calc!G9=calc!A20,(E25*calc!G9),IF(calc!G9=calc!A21,(E25*calc!G9),IF(calc!G9=calc!A22,((E26*(calc!G9-2))+E25*2),0)))))</f>
        <v>0</v>
      </c>
      <c r="E19" s="46">
        <v>0</v>
      </c>
    </row>
    <row r="20" spans="1:9" x14ac:dyDescent="0.45">
      <c r="A20" s="27"/>
      <c r="B20" s="44"/>
      <c r="C20" s="44"/>
      <c r="D20" s="44"/>
      <c r="E20" s="44"/>
    </row>
    <row r="21" spans="1:9" x14ac:dyDescent="0.45">
      <c r="D21">
        <f>E19*B19/2</f>
        <v>0</v>
      </c>
    </row>
    <row r="22" spans="1:9" x14ac:dyDescent="0.45">
      <c r="I22" s="37"/>
    </row>
    <row r="25" spans="1:9" x14ac:dyDescent="0.45">
      <c r="A25" s="2" t="s">
        <v>63</v>
      </c>
      <c r="B25" s="71">
        <v>14004100</v>
      </c>
      <c r="C25" s="71">
        <v>8595620</v>
      </c>
      <c r="D25">
        <v>2900</v>
      </c>
      <c r="E25">
        <v>1780</v>
      </c>
    </row>
    <row r="26" spans="1:9" x14ac:dyDescent="0.45">
      <c r="A26" s="2" t="s">
        <v>62</v>
      </c>
      <c r="B26" s="71">
        <v>18205330</v>
      </c>
      <c r="C26" s="71">
        <v>11174306</v>
      </c>
      <c r="D26">
        <v>3770</v>
      </c>
      <c r="E26">
        <v>2314</v>
      </c>
    </row>
    <row r="28" spans="1:9" x14ac:dyDescent="0.45">
      <c r="I28">
        <v>22101393</v>
      </c>
    </row>
  </sheetData>
  <phoneticPr fontId="1" type="noConversion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0"/>
  <sheetViews>
    <sheetView rightToLeft="1" tabSelected="1" topLeftCell="D1" zoomScale="85" zoomScaleNormal="85" workbookViewId="0">
      <selection activeCell="H11" sqref="H11"/>
    </sheetView>
  </sheetViews>
  <sheetFormatPr defaultColWidth="9.140625" defaultRowHeight="15" x14ac:dyDescent="0.25"/>
  <cols>
    <col min="1" max="1" width="15.7109375" hidden="1" customWidth="1"/>
    <col min="2" max="2" width="24.140625" hidden="1" customWidth="1"/>
    <col min="3" max="3" width="19.5703125" hidden="1" customWidth="1"/>
    <col min="4" max="4" width="6.7109375" customWidth="1"/>
    <col min="5" max="5" width="12.28515625" customWidth="1"/>
    <col min="6" max="7" width="9.140625" customWidth="1"/>
    <col min="8" max="8" width="12.28515625" customWidth="1"/>
    <col min="9" max="9" width="3.5703125" customWidth="1"/>
    <col min="10" max="10" width="11.28515625" customWidth="1"/>
    <col min="11" max="11" width="14.42578125" customWidth="1"/>
    <col min="12" max="12" width="13.7109375" style="12" customWidth="1"/>
    <col min="13" max="13" width="12.7109375" style="12" customWidth="1"/>
    <col min="14" max="14" width="17.140625" style="12" customWidth="1"/>
    <col min="15" max="15" width="4.42578125" customWidth="1"/>
    <col min="16" max="16" width="29.85546875" customWidth="1"/>
    <col min="17" max="17" width="16.28515625" bestFit="1" customWidth="1"/>
    <col min="18" max="18" width="9.140625" customWidth="1"/>
    <col min="19" max="19" width="24" hidden="1" customWidth="1"/>
    <col min="20" max="20" width="24.7109375" hidden="1" customWidth="1"/>
  </cols>
  <sheetData>
    <row r="1" spans="1:20" ht="40.5" x14ac:dyDescent="0.25">
      <c r="D1" s="72" t="s">
        <v>39</v>
      </c>
      <c r="E1" s="73"/>
      <c r="F1" s="73"/>
      <c r="G1" s="73"/>
      <c r="H1" s="74"/>
      <c r="I1" s="11"/>
      <c r="J1" s="75" t="s">
        <v>40</v>
      </c>
      <c r="K1" s="76"/>
      <c r="L1" s="76"/>
      <c r="M1" s="76"/>
      <c r="N1" s="77"/>
      <c r="O1" s="11"/>
      <c r="P1" s="78" t="s">
        <v>41</v>
      </c>
      <c r="Q1" s="79"/>
    </row>
    <row r="2" spans="1:20" ht="18" customHeight="1" x14ac:dyDescent="0.25">
      <c r="B2" t="s">
        <v>21</v>
      </c>
      <c r="C2">
        <f>IF(G7=A13,2,IF(G7=A11,0,1))</f>
        <v>0</v>
      </c>
    </row>
    <row r="3" spans="1:20" ht="18" customHeight="1" x14ac:dyDescent="0.45">
      <c r="B3" t="s">
        <v>19</v>
      </c>
      <c r="C3">
        <f>IF(G8=A15,0,1)</f>
        <v>0</v>
      </c>
      <c r="E3" s="57"/>
      <c r="F3" s="57"/>
      <c r="G3" s="57"/>
      <c r="H3" s="57"/>
      <c r="K3" s="13"/>
      <c r="L3" s="14" t="s">
        <v>42</v>
      </c>
      <c r="M3" s="14" t="s">
        <v>43</v>
      </c>
      <c r="N3" s="15" t="s">
        <v>44</v>
      </c>
      <c r="P3" s="16" t="s">
        <v>45</v>
      </c>
      <c r="Q3" s="17" t="s">
        <v>38</v>
      </c>
    </row>
    <row r="4" spans="1:20" ht="18" customHeight="1" x14ac:dyDescent="0.45">
      <c r="B4" t="s">
        <v>20</v>
      </c>
      <c r="C4">
        <f>G9</f>
        <v>0</v>
      </c>
      <c r="E4" s="80" t="s">
        <v>56</v>
      </c>
      <c r="F4" s="80"/>
      <c r="G4" s="80"/>
      <c r="H4" s="80"/>
      <c r="J4" s="81" t="s">
        <v>25</v>
      </c>
      <c r="K4" s="18" t="s">
        <v>4</v>
      </c>
      <c r="L4" s="19">
        <f ca="1">OFFSET(base!C4,C3,C2)</f>
        <v>49074967</v>
      </c>
      <c r="M4" s="19">
        <v>0</v>
      </c>
      <c r="N4" s="20">
        <v>0</v>
      </c>
      <c r="P4" s="21" t="s">
        <v>27</v>
      </c>
      <c r="Q4" s="22">
        <f ca="1">SUM(Q5:Q7)</f>
        <v>577800869.31999993</v>
      </c>
    </row>
    <row r="5" spans="1:20" ht="18" customHeight="1" x14ac:dyDescent="0.45">
      <c r="E5" s="80"/>
      <c r="F5" s="80"/>
      <c r="G5" s="80"/>
      <c r="H5" s="80"/>
      <c r="J5" s="81"/>
      <c r="K5" s="18" t="s">
        <v>5</v>
      </c>
      <c r="L5" s="70">
        <f>IF(C7=1,0,base!B6)</f>
        <v>0</v>
      </c>
      <c r="M5" s="19">
        <v>0</v>
      </c>
      <c r="N5" s="20">
        <v>0</v>
      </c>
      <c r="P5" s="23" t="s">
        <v>31</v>
      </c>
      <c r="Q5" s="24">
        <v>175000000</v>
      </c>
      <c r="S5" s="1"/>
    </row>
    <row r="6" spans="1:20" ht="18" customHeight="1" x14ac:dyDescent="0.45">
      <c r="B6" s="26"/>
      <c r="C6" s="26"/>
      <c r="E6" s="80"/>
      <c r="F6" s="80"/>
      <c r="G6" s="80"/>
      <c r="H6" s="80"/>
      <c r="J6" s="81"/>
      <c r="K6" s="18" t="s">
        <v>12</v>
      </c>
      <c r="L6" s="19" t="str">
        <f>base!B7</f>
        <v>0</v>
      </c>
      <c r="M6" s="19">
        <v>0</v>
      </c>
      <c r="N6" s="20">
        <v>0</v>
      </c>
      <c r="P6" s="23" t="s">
        <v>47</v>
      </c>
      <c r="Q6" s="60">
        <v>120000000</v>
      </c>
    </row>
    <row r="7" spans="1:20" ht="18" x14ac:dyDescent="0.45">
      <c r="A7" s="25"/>
      <c r="B7" s="26" t="s">
        <v>18</v>
      </c>
      <c r="C7" s="26">
        <f>C3+C4+1</f>
        <v>1</v>
      </c>
      <c r="E7" s="82" t="s">
        <v>52</v>
      </c>
      <c r="F7" s="83"/>
      <c r="G7" s="84" t="s">
        <v>49</v>
      </c>
      <c r="H7" s="85"/>
      <c r="J7" s="81"/>
      <c r="K7" s="18" t="s">
        <v>22</v>
      </c>
      <c r="L7" s="19">
        <f>IF(G10=base!A25,base!B12,0)</f>
        <v>18000000</v>
      </c>
      <c r="M7" s="19">
        <v>0</v>
      </c>
      <c r="N7" s="20">
        <v>0</v>
      </c>
      <c r="P7" s="23" t="s">
        <v>32</v>
      </c>
      <c r="Q7" s="63">
        <f ca="1">24*N13</f>
        <v>282800869.31999999</v>
      </c>
      <c r="T7" s="69"/>
    </row>
    <row r="8" spans="1:20" ht="18" x14ac:dyDescent="0.45">
      <c r="E8" s="86" t="s">
        <v>53</v>
      </c>
      <c r="F8" s="87"/>
      <c r="G8" s="84" t="s">
        <v>54</v>
      </c>
      <c r="H8" s="85"/>
      <c r="J8" s="81"/>
      <c r="K8" s="18" t="s">
        <v>23</v>
      </c>
      <c r="L8" s="19">
        <f>base!B13/12</f>
        <v>1207250</v>
      </c>
      <c r="M8" s="19">
        <v>0</v>
      </c>
      <c r="N8" s="20">
        <v>0</v>
      </c>
      <c r="P8" s="27"/>
      <c r="Q8" s="28"/>
      <c r="T8" s="69"/>
    </row>
    <row r="9" spans="1:20" ht="39" customHeight="1" x14ac:dyDescent="0.45">
      <c r="A9" s="39"/>
      <c r="B9" s="58" t="s">
        <v>59</v>
      </c>
      <c r="E9" s="104" t="s">
        <v>60</v>
      </c>
      <c r="F9" s="104"/>
      <c r="G9" s="105">
        <v>0</v>
      </c>
      <c r="H9" s="105"/>
      <c r="J9" s="106" t="s">
        <v>24</v>
      </c>
      <c r="K9" s="29" t="s">
        <v>13</v>
      </c>
      <c r="L9" s="30">
        <f>base!C11*C7</f>
        <v>1292000</v>
      </c>
      <c r="M9" s="30">
        <f>base!D11*C7</f>
        <v>323000</v>
      </c>
      <c r="N9" s="31">
        <f>L9+M9</f>
        <v>1615000</v>
      </c>
      <c r="P9" s="62" t="s">
        <v>37</v>
      </c>
      <c r="Q9" s="61">
        <f>SUM(Q5:Q6)</f>
        <v>295000000</v>
      </c>
    </row>
    <row r="10" spans="1:20" ht="44.25" customHeight="1" x14ac:dyDescent="0.45">
      <c r="B10" s="58" t="s">
        <v>58</v>
      </c>
      <c r="E10" s="104" t="s">
        <v>61</v>
      </c>
      <c r="F10" s="104"/>
      <c r="G10" s="84" t="s">
        <v>63</v>
      </c>
      <c r="H10" s="85"/>
      <c r="J10" s="107"/>
      <c r="K10" s="29" t="s">
        <v>14</v>
      </c>
      <c r="L10" s="30">
        <f>base!C10*C7</f>
        <v>667000</v>
      </c>
      <c r="M10" s="30">
        <f>base!D10*C7</f>
        <v>1404000</v>
      </c>
      <c r="N10" s="31">
        <f>L10+M10</f>
        <v>2071000</v>
      </c>
      <c r="P10" s="62" t="s">
        <v>64</v>
      </c>
      <c r="Q10" s="61">
        <f ca="1">S10</f>
        <v>352900000</v>
      </c>
      <c r="S10">
        <f ca="1">CEILING(T10, 100000)</f>
        <v>352900000</v>
      </c>
      <c r="T10" s="61">
        <f ca="1">Q7+70000000</f>
        <v>352800869.31999999</v>
      </c>
    </row>
    <row r="11" spans="1:20" ht="18" customHeight="1" x14ac:dyDescent="0.45">
      <c r="A11" s="56" t="s">
        <v>49</v>
      </c>
      <c r="B11" s="58" t="s">
        <v>57</v>
      </c>
      <c r="J11" s="107"/>
      <c r="K11" s="29" t="s">
        <v>15</v>
      </c>
      <c r="L11" s="30">
        <f ca="1">0.01*L4</f>
        <v>490749.67</v>
      </c>
      <c r="M11" s="30">
        <f ca="1">0.02*L4</f>
        <v>981499.34</v>
      </c>
      <c r="N11" s="31">
        <f ca="1">SUM(L11:M11)</f>
        <v>1472249.01</v>
      </c>
    </row>
    <row r="12" spans="1:20" ht="18" customHeight="1" x14ac:dyDescent="0.45">
      <c r="A12" s="56" t="s">
        <v>50</v>
      </c>
      <c r="B12" s="32"/>
      <c r="C12" s="59" t="e">
        <f>IF(#REF!=B11,2,1)</f>
        <v>#REF!</v>
      </c>
      <c r="E12" s="108" t="s">
        <v>66</v>
      </c>
      <c r="F12" s="109"/>
      <c r="G12" s="109"/>
      <c r="H12" s="110"/>
      <c r="J12" s="107"/>
      <c r="K12" s="29" t="s">
        <v>16</v>
      </c>
      <c r="L12" s="30">
        <v>0</v>
      </c>
      <c r="M12" s="30">
        <f ca="1">0.135*L4</f>
        <v>6625120.5450000009</v>
      </c>
      <c r="N12" s="31">
        <f ca="1">SUM(L12:M12)</f>
        <v>6625120.5450000009</v>
      </c>
      <c r="P12" s="88" t="s">
        <v>67</v>
      </c>
      <c r="Q12" s="89"/>
    </row>
    <row r="13" spans="1:20" ht="18" customHeight="1" x14ac:dyDescent="0.45">
      <c r="A13" s="56" t="s">
        <v>51</v>
      </c>
      <c r="E13" s="111"/>
      <c r="F13" s="112"/>
      <c r="G13" s="112"/>
      <c r="H13" s="113"/>
      <c r="J13" s="107"/>
      <c r="K13" s="33" t="s">
        <v>26</v>
      </c>
      <c r="L13" s="34">
        <f ca="1">SUM(L9:L12)</f>
        <v>2449749.67</v>
      </c>
      <c r="M13" s="30">
        <f ca="1">SUM(M9:M12)</f>
        <v>9333619.8850000016</v>
      </c>
      <c r="N13" s="31">
        <f ca="1">SUM(N9:N12)</f>
        <v>11783369.555</v>
      </c>
      <c r="P13" s="90"/>
      <c r="Q13" s="91"/>
    </row>
    <row r="14" spans="1:20" ht="18" customHeight="1" x14ac:dyDescent="0.45">
      <c r="A14" s="56"/>
      <c r="E14" s="111"/>
      <c r="F14" s="112"/>
      <c r="G14" s="112"/>
      <c r="H14" s="113"/>
      <c r="K14" s="35" t="s">
        <v>17</v>
      </c>
      <c r="L14" s="36">
        <f ca="1">SUM(L4:L8)-SUM(L12:L13)</f>
        <v>65832467.329999998</v>
      </c>
      <c r="M14"/>
      <c r="N14"/>
      <c r="P14" s="90"/>
      <c r="Q14" s="91"/>
    </row>
    <row r="15" spans="1:20" ht="15" customHeight="1" x14ac:dyDescent="0.25">
      <c r="A15" s="56" t="s">
        <v>54</v>
      </c>
      <c r="E15" s="114"/>
      <c r="F15" s="115"/>
      <c r="G15" s="115"/>
      <c r="H15" s="116"/>
      <c r="P15" s="90"/>
      <c r="Q15" s="91"/>
    </row>
    <row r="16" spans="1:20" ht="17.25" customHeight="1" x14ac:dyDescent="0.25">
      <c r="A16" s="56" t="s">
        <v>55</v>
      </c>
      <c r="J16" s="94" t="s">
        <v>65</v>
      </c>
      <c r="K16" s="95"/>
      <c r="L16" s="95"/>
      <c r="M16" s="95"/>
      <c r="N16" s="96"/>
      <c r="P16" s="90"/>
      <c r="Q16" s="91"/>
    </row>
    <row r="17" spans="1:17" ht="46.5" customHeight="1" x14ac:dyDescent="0.25">
      <c r="A17" s="56"/>
      <c r="J17" s="97"/>
      <c r="K17" s="98"/>
      <c r="L17" s="98"/>
      <c r="M17" s="98"/>
      <c r="N17" s="99"/>
      <c r="P17" s="90"/>
      <c r="Q17" s="91"/>
    </row>
    <row r="18" spans="1:17" ht="84" customHeight="1" x14ac:dyDescent="0.25">
      <c r="A18" s="56">
        <v>0</v>
      </c>
      <c r="L18"/>
      <c r="M18"/>
      <c r="N18"/>
      <c r="P18" s="92"/>
      <c r="Q18" s="93"/>
    </row>
    <row r="19" spans="1:17" x14ac:dyDescent="0.25">
      <c r="A19" s="56">
        <v>3</v>
      </c>
    </row>
    <row r="20" spans="1:17" ht="15" customHeight="1" x14ac:dyDescent="0.25">
      <c r="A20" s="56">
        <v>1</v>
      </c>
      <c r="D20" s="100" t="s">
        <v>46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ht="22.9" customHeight="1" thickBot="1" x14ac:dyDescent="0.3">
      <c r="A21" s="56">
        <v>2</v>
      </c>
      <c r="D21" s="102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x14ac:dyDescent="0.25">
      <c r="A22" s="56">
        <v>4</v>
      </c>
      <c r="L22" s="38"/>
      <c r="M22" s="38"/>
      <c r="N22" s="38"/>
    </row>
    <row r="23" spans="1:17" x14ac:dyDescent="0.25">
      <c r="L23" s="38"/>
      <c r="M23" s="38"/>
      <c r="N23" s="38"/>
    </row>
    <row r="24" spans="1:17" x14ac:dyDescent="0.25">
      <c r="L24" s="38"/>
      <c r="M24" s="38"/>
      <c r="N24" s="38"/>
    </row>
    <row r="25" spans="1:17" x14ac:dyDescent="0.25">
      <c r="L25" s="38"/>
      <c r="M25" s="38"/>
      <c r="N25" s="38"/>
    </row>
    <row r="26" spans="1:17" x14ac:dyDescent="0.25">
      <c r="L26" s="38"/>
      <c r="M26" s="38"/>
      <c r="N26" s="38"/>
    </row>
    <row r="27" spans="1:17" x14ac:dyDescent="0.25">
      <c r="L27" s="38"/>
      <c r="M27" s="38"/>
      <c r="N27" s="38"/>
    </row>
    <row r="28" spans="1:17" x14ac:dyDescent="0.25">
      <c r="L28" s="38"/>
      <c r="M28" s="38"/>
      <c r="N28" s="38"/>
    </row>
    <row r="29" spans="1:17" x14ac:dyDescent="0.25">
      <c r="L29" s="38"/>
      <c r="M29" s="38"/>
      <c r="N29" s="38"/>
    </row>
    <row r="30" spans="1:17" x14ac:dyDescent="0.25">
      <c r="L30" s="38"/>
      <c r="M30" s="38"/>
      <c r="N30" s="38"/>
    </row>
  </sheetData>
  <sheetProtection algorithmName="SHA-512" hashValue="P7LE4wDndwfPYsIt6KVgSRp9ptT+z2u/FAb866OMFVZnBxAGNyoUWNTrTXqbcD93lcF5I3STuP9C8OCpIlO60Q==" saltValue="K8sumxKFgDxcCchDy3Zbvg==" spinCount="100000" sheet="1" objects="1" scenarios="1"/>
  <mergeCells count="18">
    <mergeCell ref="P12:Q18"/>
    <mergeCell ref="J16:N17"/>
    <mergeCell ref="D20:Q21"/>
    <mergeCell ref="E9:F9"/>
    <mergeCell ref="G9:H9"/>
    <mergeCell ref="J9:J13"/>
    <mergeCell ref="E12:H15"/>
    <mergeCell ref="E10:F10"/>
    <mergeCell ref="G10:H10"/>
    <mergeCell ref="D1:H1"/>
    <mergeCell ref="J1:N1"/>
    <mergeCell ref="P1:Q1"/>
    <mergeCell ref="E4:H6"/>
    <mergeCell ref="J4:J8"/>
    <mergeCell ref="E7:F7"/>
    <mergeCell ref="G7:H7"/>
    <mergeCell ref="E8:F8"/>
    <mergeCell ref="G8:H8"/>
  </mergeCells>
  <phoneticPr fontId="1" type="noConversion"/>
  <dataValidations count="3">
    <dataValidation type="list" allowBlank="1" showInputMessage="1" showErrorMessage="1" sqref="G7" xr:uid="{00000000-0002-0000-0100-000000000000}">
      <formula1>$A$11:$A$13</formula1>
    </dataValidation>
    <dataValidation type="list" allowBlank="1" showInputMessage="1" showErrorMessage="1" sqref="G8" xr:uid="{00000000-0002-0000-0100-000001000000}">
      <formula1>$A$15:$A$16</formula1>
    </dataValidation>
    <dataValidation type="list" allowBlank="1" showInputMessage="1" showErrorMessage="1" sqref="G9:H9" xr:uid="{9E3E08E1-CAE8-415B-B4DF-F523F53DBE18}">
      <formula1>$A$18:$A$22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base!$A$25:$A$26</xm:f>
          </x14:formula1>
          <xm:sqref>G10:H10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</vt:lpstr>
      <vt:lpstr>calc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mr.rahimy</dc:creator>
  <cp:lastModifiedBy>Masir</cp:lastModifiedBy>
  <cp:revision>3</cp:revision>
  <dcterms:created xsi:type="dcterms:W3CDTF">2024-02-04T07:53:29Z</dcterms:created>
  <dcterms:modified xsi:type="dcterms:W3CDTF">2024-07-02T07:16:25Z</dcterms:modified>
</cp:coreProperties>
</file>